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311_Notenrechner\Mach\"/>
    </mc:Choice>
  </mc:AlternateContent>
  <workbookProtection workbookPassword="E201" lockStructure="1"/>
  <bookViews>
    <workbookView xWindow="0" yWindow="0" windowWidth="28800" windowHeight="12300"/>
  </bookViews>
  <sheets>
    <sheet name="Noten" sheetId="1" r:id="rId1"/>
    <sheet name="Nebenrechnung" sheetId="2" r:id="rId2"/>
    <sheet name="Schema neue Berechnung" sheetId="5" r:id="rId3"/>
    <sheet name="Schema alte Berechnung" sheetId="4" r:id="rId4"/>
  </sheets>
  <calcPr calcId="162913"/>
</workbook>
</file>

<file path=xl/calcChain.xml><?xml version="1.0" encoding="utf-8"?>
<calcChain xmlns="http://schemas.openxmlformats.org/spreadsheetml/2006/main">
  <c r="D13" i="2" l="1"/>
  <c r="C13" i="2"/>
  <c r="D11" i="2"/>
  <c r="C11" i="2"/>
  <c r="D7" i="2"/>
  <c r="C7" i="2"/>
  <c r="D23" i="2"/>
  <c r="D16" i="2"/>
  <c r="C23" i="2"/>
  <c r="C16" i="2"/>
  <c r="E23" i="2" l="1"/>
  <c r="E16" i="2"/>
  <c r="E7" i="2"/>
  <c r="E11" i="2"/>
  <c r="E13" i="2"/>
  <c r="F23" i="1"/>
  <c r="F28" i="1"/>
  <c r="F27" i="1"/>
  <c r="F26" i="1"/>
  <c r="F25" i="1"/>
  <c r="F24" i="1"/>
  <c r="F17" i="1"/>
  <c r="F18" i="1"/>
  <c r="F16" i="1"/>
  <c r="F19" i="1"/>
  <c r="F21" i="1"/>
  <c r="F20" i="1"/>
  <c r="P7" i="2" l="1"/>
  <c r="G7" i="2"/>
  <c r="H7" i="2"/>
  <c r="G16" i="2"/>
  <c r="H16" i="2"/>
  <c r="O7" i="2"/>
  <c r="I7" i="2" l="1"/>
  <c r="I16" i="2"/>
  <c r="Q9" i="2"/>
  <c r="E38" i="1" s="1"/>
  <c r="Q7" i="2"/>
  <c r="D38" i="1" s="1"/>
  <c r="K7" i="2" l="1"/>
  <c r="L7" i="2"/>
  <c r="M7" i="2" l="1"/>
  <c r="D40" i="1" s="1"/>
  <c r="M9" i="2"/>
  <c r="E40" i="1" s="1"/>
</calcChain>
</file>

<file path=xl/sharedStrings.xml><?xml version="1.0" encoding="utf-8"?>
<sst xmlns="http://schemas.openxmlformats.org/spreadsheetml/2006/main" count="78" uniqueCount="47">
  <si>
    <t>MuS</t>
  </si>
  <si>
    <t>PE B</t>
  </si>
  <si>
    <t>Note</t>
  </si>
  <si>
    <t>Math. Meth.</t>
  </si>
  <si>
    <t>Kernfach SP1</t>
  </si>
  <si>
    <t>Ergänzungsfach SP1</t>
  </si>
  <si>
    <t>Kernfach SP2</t>
  </si>
  <si>
    <t>Ergänzungsfach SP2</t>
  </si>
  <si>
    <t>Masterarbeit</t>
  </si>
  <si>
    <t>a: 9/ n: 7</t>
  </si>
  <si>
    <t>a: 5/ n: 4</t>
  </si>
  <si>
    <t>Modul</t>
  </si>
  <si>
    <t>a:20/ n:30</t>
  </si>
  <si>
    <t>Vorlesungsname</t>
  </si>
  <si>
    <t>Produktentst. Entwicklungsmethodik</t>
  </si>
  <si>
    <t>Modellbildung und Simulation</t>
  </si>
  <si>
    <t>(optional)</t>
  </si>
  <si>
    <t>Leistungspunkte (alt/ neu)</t>
  </si>
  <si>
    <t>Gesamtnote alt:</t>
  </si>
  <si>
    <t xml:space="preserve">Bitte in markierte Felder eintragen: </t>
  </si>
  <si>
    <t>Gesamtnote neu*:</t>
  </si>
  <si>
    <t>Masternote MACH SPO 2008 (alt) / SPO 2016 (neu)</t>
  </si>
  <si>
    <t>bestanden</t>
  </si>
  <si>
    <t>WF Mat/Nat</t>
  </si>
  <si>
    <t>WF Wirtsch./Recht</t>
  </si>
  <si>
    <t>(Labor-)Praktikum</t>
  </si>
  <si>
    <t>Berufspraktikum (alt)</t>
  </si>
  <si>
    <t>Schl.quali. (neu)</t>
  </si>
  <si>
    <t>Berufspraktikum, alte SPO</t>
  </si>
  <si>
    <t>Schlüsselqualifikation (ZAK, HoC, Sprache)</t>
  </si>
  <si>
    <t>Schein</t>
  </si>
  <si>
    <t>a: 3/ n: 4</t>
  </si>
  <si>
    <t>Fach</t>
  </si>
  <si>
    <t>Noten, Zähler</t>
  </si>
  <si>
    <t>LP, Nenner</t>
  </si>
  <si>
    <t>Schnitt</t>
  </si>
  <si>
    <t>Gesamt, neu</t>
  </si>
  <si>
    <t>Gesamt, alt</t>
  </si>
  <si>
    <t>PE E (a: PE A)</t>
  </si>
  <si>
    <t>GM 1 (a: WPF 1)</t>
  </si>
  <si>
    <t>GM 2 (a: WPF 2)</t>
  </si>
  <si>
    <t>Modul (alt: ...)</t>
  </si>
  <si>
    <t>WPM 2 (a: WPF 3)</t>
  </si>
  <si>
    <t>WPM 1 (a: WF)</t>
  </si>
  <si>
    <t>Produktentst. Bauteildimensionierung</t>
  </si>
  <si>
    <t>*Anmerkung: Das Studienbüro hat uns bestätigt, dass die Berechnungsschemata,</t>
  </si>
  <si>
    <t>wie sie in den folgenden Tabellensheets dargestellt sind, so im System implementiert sind. 03.08.17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</si>
</sst>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164" fontId="0" fillId="0" borderId="0" xfId="0" applyNumberFormat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2" fillId="0" borderId="7" xfId="0" applyFont="1" applyBorder="1" applyAlignment="1">
      <alignment horizontal="center"/>
    </xf>
    <xf numFmtId="164" fontId="0" fillId="0" borderId="6" xfId="0" applyNumberFormat="1" applyFill="1" applyBorder="1"/>
    <xf numFmtId="0" fontId="2" fillId="0" borderId="0" xfId="0" applyFont="1" applyFill="1" applyBorder="1" applyAlignment="1">
      <alignment horizontal="center"/>
    </xf>
    <xf numFmtId="0" fontId="0" fillId="0" borderId="2" xfId="0" applyBorder="1"/>
    <xf numFmtId="0" fontId="0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164" fontId="0" fillId="0" borderId="0" xfId="0" applyNumberFormat="1" applyBorder="1" applyAlignment="1">
      <alignment horizontal="left"/>
    </xf>
    <xf numFmtId="164" fontId="2" fillId="0" borderId="0" xfId="0" applyNumberFormat="1" applyFont="1"/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9" xfId="0" applyFill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1" fillId="2" borderId="12" xfId="0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0" xfId="0" applyProtection="1"/>
    <xf numFmtId="0" fontId="0" fillId="0" borderId="0" xfId="0" applyNumberFormat="1" applyFont="1"/>
    <xf numFmtId="165" fontId="4" fillId="0" borderId="0" xfId="0" applyNumberFormat="1" applyFont="1" applyAlignment="1"/>
    <xf numFmtId="0" fontId="1" fillId="0" borderId="0" xfId="0" applyFont="1" applyFill="1" applyBorder="1" applyAlignment="1"/>
    <xf numFmtId="0" fontId="0" fillId="0" borderId="0" xfId="0" applyAlignment="1"/>
    <xf numFmtId="0" fontId="0" fillId="0" borderId="0" xfId="0" applyBorder="1" applyAlignment="1">
      <alignment horizontal="right"/>
    </xf>
    <xf numFmtId="0" fontId="0" fillId="0" borderId="10" xfId="0" applyFill="1" applyBorder="1"/>
    <xf numFmtId="0" fontId="0" fillId="0" borderId="2" xfId="0" applyFill="1" applyBorder="1"/>
    <xf numFmtId="0" fontId="0" fillId="0" borderId="10" xfId="0" applyFont="1" applyFill="1" applyBorder="1"/>
    <xf numFmtId="0" fontId="0" fillId="0" borderId="0" xfId="0" applyFont="1" applyFill="1" applyBorder="1"/>
    <xf numFmtId="0" fontId="0" fillId="0" borderId="0" xfId="0" applyFont="1" applyAlignment="1">
      <alignment horizontal="left"/>
    </xf>
    <xf numFmtId="164" fontId="0" fillId="0" borderId="0" xfId="0" applyNumberFormat="1" applyFont="1"/>
    <xf numFmtId="165" fontId="0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CC99"/>
      <color rgb="FFFFCC66"/>
      <color rgb="FFFF7C80"/>
      <color rgb="FFCCFFFF"/>
      <color rgb="FFCCFFCC"/>
      <color rgb="FF66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Nebenrechnung!$A$6" lockText="1" noThreeD="1"/>
</file>

<file path=xl/ctrlProps/ctrlProp10.xml><?xml version="1.0" encoding="utf-8"?>
<formControlPr xmlns="http://schemas.microsoft.com/office/spreadsheetml/2009/9/main" objectType="CheckBox" checked="Checked" fmlaLink="Nebenrechnung!$A$19" lockText="1" noThreeD="1"/>
</file>

<file path=xl/ctrlProps/ctrlProp11.xml><?xml version="1.0" encoding="utf-8"?>
<formControlPr xmlns="http://schemas.microsoft.com/office/spreadsheetml/2009/9/main" objectType="CheckBox" checked="Checked" fmlaLink="Nebenrechnung!$A$20" lockText="1" noThreeD="1"/>
</file>

<file path=xl/ctrlProps/ctrlProp12.xml><?xml version="1.0" encoding="utf-8"?>
<formControlPr xmlns="http://schemas.microsoft.com/office/spreadsheetml/2009/9/main" objectType="CheckBox" fmlaLink="Nebenrechnung!$A$21" lockText="1" noThreeD="1"/>
</file>

<file path=xl/ctrlProps/ctrlProp13.xml><?xml version="1.0" encoding="utf-8"?>
<formControlPr xmlns="http://schemas.microsoft.com/office/spreadsheetml/2009/9/main" objectType="CheckBox" fmlaLink="Nebenrechnung!$A$25" lockText="1" noThreeD="1"/>
</file>

<file path=xl/ctrlProps/ctrlProp14.xml><?xml version="1.0" encoding="utf-8"?>
<formControlPr xmlns="http://schemas.microsoft.com/office/spreadsheetml/2009/9/main" objectType="CheckBox" checked="Checked" fmlaLink="Nebenrechnung!$A$26" lockText="1" noThreeD="1"/>
</file>

<file path=xl/ctrlProps/ctrlProp15.xml><?xml version="1.0" encoding="utf-8"?>
<formControlPr xmlns="http://schemas.microsoft.com/office/spreadsheetml/2009/9/main" objectType="CheckBox" checked="Checked" fmlaLink="Nebenrechnung!$A$27" lockText="1" noThreeD="1"/>
</file>

<file path=xl/ctrlProps/ctrlProp16.xml><?xml version="1.0" encoding="utf-8"?>
<formControlPr xmlns="http://schemas.microsoft.com/office/spreadsheetml/2009/9/main" objectType="CheckBox" fmlaLink="Nebenrechnung!$A$28" lockText="1" noThreeD="1"/>
</file>

<file path=xl/ctrlProps/ctrlProp17.xml><?xml version="1.0" encoding="utf-8"?>
<formControlPr xmlns="http://schemas.microsoft.com/office/spreadsheetml/2009/9/main" objectType="CheckBox" checked="Checked" fmlaLink="Nebenrechnung!$A$30" lockText="1" noThreeD="1"/>
</file>

<file path=xl/ctrlProps/ctrlProp18.xml><?xml version="1.0" encoding="utf-8"?>
<formControlPr xmlns="http://schemas.microsoft.com/office/spreadsheetml/2009/9/main" objectType="CheckBox" checked="Checked" fmlaLink="Nebenrechnung!$A$32" lockText="1" noThreeD="1"/>
</file>

<file path=xl/ctrlProps/ctrlProp19.xml><?xml version="1.0" encoding="utf-8"?>
<formControlPr xmlns="http://schemas.microsoft.com/office/spreadsheetml/2009/9/main" objectType="CheckBox" checked="Checked" fmlaLink="Nebenrechnung!$A$33" lockText="1" noThreeD="1"/>
</file>

<file path=xl/ctrlProps/ctrlProp2.xml><?xml version="1.0" encoding="utf-8"?>
<formControlPr xmlns="http://schemas.microsoft.com/office/spreadsheetml/2009/9/main" objectType="CheckBox" fmlaLink="Nebenrechnung!$A$7" lockText="1" noThreeD="1"/>
</file>

<file path=xl/ctrlProps/ctrlProp20.xml><?xml version="1.0" encoding="utf-8"?>
<formControlPr xmlns="http://schemas.microsoft.com/office/spreadsheetml/2009/9/main" objectType="CheckBox" fmlaLink="Nebenrechnung!$A$34" lockText="1" noThreeD="1"/>
</file>

<file path=xl/ctrlProps/ctrlProp21.xml><?xml version="1.0" encoding="utf-8"?>
<formControlPr xmlns="http://schemas.microsoft.com/office/spreadsheetml/2009/9/main" objectType="CheckBox" fmlaLink="Nebenrechnung!$A$35" lockText="1" noThreeD="1"/>
</file>

<file path=xl/ctrlProps/ctrlProp22.xml><?xml version="1.0" encoding="utf-8"?>
<formControlPr xmlns="http://schemas.microsoft.com/office/spreadsheetml/2009/9/main" objectType="CheckBox" checked="Checked" fmlaLink="Nebenrechnung!$A$36" lockText="1" noThreeD="1"/>
</file>

<file path=xl/ctrlProps/ctrlProp23.xml><?xml version="1.0" encoding="utf-8"?>
<formControlPr xmlns="http://schemas.microsoft.com/office/spreadsheetml/2009/9/main" objectType="CheckBox" checked="Checked" fmlaLink="Nebenrechnung!$A$17" lockText="1" noThreeD="1"/>
</file>

<file path=xl/ctrlProps/ctrlProp24.xml><?xml version="1.0" encoding="utf-8"?>
<formControlPr xmlns="http://schemas.microsoft.com/office/spreadsheetml/2009/9/main" objectType="CheckBox" fmlaLink="Nebenrechnung!$A$16" lockText="1" noThreeD="1"/>
</file>

<file path=xl/ctrlProps/ctrlProp25.xml><?xml version="1.0" encoding="utf-8"?>
<formControlPr xmlns="http://schemas.microsoft.com/office/spreadsheetml/2009/9/main" objectType="CheckBox" checked="Checked" fmlaLink="Nebenrechnung!$A$24" lockText="1" noThreeD="1"/>
</file>

<file path=xl/ctrlProps/ctrlProp26.xml><?xml version="1.0" encoding="utf-8"?>
<formControlPr xmlns="http://schemas.microsoft.com/office/spreadsheetml/2009/9/main" objectType="CheckBox" checked="Checked" fmlaLink="Nebenrechnung!$A$23" lockText="1" noThreeD="1"/>
</file>

<file path=xl/ctrlProps/ctrlProp3.xml><?xml version="1.0" encoding="utf-8"?>
<formControlPr xmlns="http://schemas.microsoft.com/office/spreadsheetml/2009/9/main" objectType="CheckBox" checked="Checked" fmlaLink="Nebenrechnung!$A$8" lockText="1" noThreeD="1"/>
</file>

<file path=xl/ctrlProps/ctrlProp4.xml><?xml version="1.0" encoding="utf-8"?>
<formControlPr xmlns="http://schemas.microsoft.com/office/spreadsheetml/2009/9/main" objectType="CheckBox" fmlaLink="Nebenrechnung!$A$9" lockText="1" noThreeD="1"/>
</file>

<file path=xl/ctrlProps/ctrlProp5.xml><?xml version="1.0" encoding="utf-8"?>
<formControlPr xmlns="http://schemas.microsoft.com/office/spreadsheetml/2009/9/main" objectType="CheckBox" checked="Checked" fmlaLink="Nebenrechnung!$A$11" lockText="1" noThreeD="1"/>
</file>

<file path=xl/ctrlProps/ctrlProp6.xml><?xml version="1.0" encoding="utf-8"?>
<formControlPr xmlns="http://schemas.microsoft.com/office/spreadsheetml/2009/9/main" objectType="CheckBox" checked="Checked" fmlaLink="Nebenrechnung!$A$13" lockText="1" noThreeD="1"/>
</file>

<file path=xl/ctrlProps/ctrlProp7.xml><?xml version="1.0" encoding="utf-8"?>
<formControlPr xmlns="http://schemas.microsoft.com/office/spreadsheetml/2009/9/main" objectType="CheckBox" fmlaLink="Nebenrechnung!$A$12" lockText="1" noThreeD="1"/>
</file>

<file path=xl/ctrlProps/ctrlProp8.xml><?xml version="1.0" encoding="utf-8"?>
<formControlPr xmlns="http://schemas.microsoft.com/office/spreadsheetml/2009/9/main" objectType="CheckBox" checked="Checked" fmlaLink="Nebenrechnung!$A$14" lockText="1" noThreeD="1"/>
</file>

<file path=xl/ctrlProps/ctrlProp9.xml><?xml version="1.0" encoding="utf-8"?>
<formControlPr xmlns="http://schemas.microsoft.com/office/spreadsheetml/2009/9/main" objectType="CheckBox" fmlaLink="Nebenrechnung!$A$18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5</xdr:row>
          <xdr:rowOff>0</xdr:rowOff>
        </xdr:from>
        <xdr:to>
          <xdr:col>2</xdr:col>
          <xdr:colOff>638175</xdr:colOff>
          <xdr:row>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0</xdr:rowOff>
        </xdr:from>
        <xdr:to>
          <xdr:col>2</xdr:col>
          <xdr:colOff>638175</xdr:colOff>
          <xdr:row>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0</xdr:rowOff>
        </xdr:from>
        <xdr:to>
          <xdr:col>2</xdr:col>
          <xdr:colOff>638175</xdr:colOff>
          <xdr:row>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0</xdr:rowOff>
        </xdr:from>
        <xdr:to>
          <xdr:col>2</xdr:col>
          <xdr:colOff>638175</xdr:colOff>
          <xdr:row>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10</xdr:row>
          <xdr:rowOff>0</xdr:rowOff>
        </xdr:from>
        <xdr:to>
          <xdr:col>2</xdr:col>
          <xdr:colOff>638175</xdr:colOff>
          <xdr:row>11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12</xdr:row>
          <xdr:rowOff>0</xdr:rowOff>
        </xdr:from>
        <xdr:to>
          <xdr:col>2</xdr:col>
          <xdr:colOff>638175</xdr:colOff>
          <xdr:row>13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11</xdr:row>
          <xdr:rowOff>0</xdr:rowOff>
        </xdr:from>
        <xdr:to>
          <xdr:col>2</xdr:col>
          <xdr:colOff>638175</xdr:colOff>
          <xdr:row>12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13</xdr:row>
          <xdr:rowOff>0</xdr:rowOff>
        </xdr:from>
        <xdr:to>
          <xdr:col>2</xdr:col>
          <xdr:colOff>638175</xdr:colOff>
          <xdr:row>14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17</xdr:row>
          <xdr:rowOff>0</xdr:rowOff>
        </xdr:from>
        <xdr:to>
          <xdr:col>2</xdr:col>
          <xdr:colOff>638175</xdr:colOff>
          <xdr:row>18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18</xdr:row>
          <xdr:rowOff>0</xdr:rowOff>
        </xdr:from>
        <xdr:to>
          <xdr:col>2</xdr:col>
          <xdr:colOff>638175</xdr:colOff>
          <xdr:row>19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0</xdr:rowOff>
        </xdr:from>
        <xdr:to>
          <xdr:col>2</xdr:col>
          <xdr:colOff>638175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20</xdr:row>
          <xdr:rowOff>0</xdr:rowOff>
        </xdr:from>
        <xdr:to>
          <xdr:col>2</xdr:col>
          <xdr:colOff>638175</xdr:colOff>
          <xdr:row>21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24</xdr:row>
          <xdr:rowOff>0</xdr:rowOff>
        </xdr:from>
        <xdr:to>
          <xdr:col>2</xdr:col>
          <xdr:colOff>628650</xdr:colOff>
          <xdr:row>25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25</xdr:row>
          <xdr:rowOff>0</xdr:rowOff>
        </xdr:from>
        <xdr:to>
          <xdr:col>2</xdr:col>
          <xdr:colOff>628650</xdr:colOff>
          <xdr:row>26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26</xdr:row>
          <xdr:rowOff>0</xdr:rowOff>
        </xdr:from>
        <xdr:to>
          <xdr:col>2</xdr:col>
          <xdr:colOff>628650</xdr:colOff>
          <xdr:row>27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27</xdr:row>
          <xdr:rowOff>0</xdr:rowOff>
        </xdr:from>
        <xdr:to>
          <xdr:col>2</xdr:col>
          <xdr:colOff>628650</xdr:colOff>
          <xdr:row>28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29</xdr:row>
          <xdr:rowOff>0</xdr:rowOff>
        </xdr:from>
        <xdr:to>
          <xdr:col>2</xdr:col>
          <xdr:colOff>628650</xdr:colOff>
          <xdr:row>30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31</xdr:row>
          <xdr:rowOff>0</xdr:rowOff>
        </xdr:from>
        <xdr:to>
          <xdr:col>2</xdr:col>
          <xdr:colOff>628650</xdr:colOff>
          <xdr:row>32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32</xdr:row>
          <xdr:rowOff>0</xdr:rowOff>
        </xdr:from>
        <xdr:to>
          <xdr:col>2</xdr:col>
          <xdr:colOff>628650</xdr:colOff>
          <xdr:row>33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33</xdr:row>
          <xdr:rowOff>0</xdr:rowOff>
        </xdr:from>
        <xdr:to>
          <xdr:col>2</xdr:col>
          <xdr:colOff>628650</xdr:colOff>
          <xdr:row>34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34</xdr:row>
          <xdr:rowOff>0</xdr:rowOff>
        </xdr:from>
        <xdr:to>
          <xdr:col>2</xdr:col>
          <xdr:colOff>628650</xdr:colOff>
          <xdr:row>35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35</xdr:row>
          <xdr:rowOff>0</xdr:rowOff>
        </xdr:from>
        <xdr:to>
          <xdr:col>2</xdr:col>
          <xdr:colOff>628650</xdr:colOff>
          <xdr:row>36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16</xdr:row>
          <xdr:rowOff>0</xdr:rowOff>
        </xdr:from>
        <xdr:to>
          <xdr:col>2</xdr:col>
          <xdr:colOff>638175</xdr:colOff>
          <xdr:row>17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15</xdr:row>
          <xdr:rowOff>0</xdr:rowOff>
        </xdr:from>
        <xdr:to>
          <xdr:col>2</xdr:col>
          <xdr:colOff>638175</xdr:colOff>
          <xdr:row>16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23</xdr:row>
          <xdr:rowOff>0</xdr:rowOff>
        </xdr:from>
        <xdr:to>
          <xdr:col>2</xdr:col>
          <xdr:colOff>628650</xdr:colOff>
          <xdr:row>24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22</xdr:row>
          <xdr:rowOff>0</xdr:rowOff>
        </xdr:from>
        <xdr:to>
          <xdr:col>2</xdr:col>
          <xdr:colOff>628650</xdr:colOff>
          <xdr:row>23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426096</xdr:colOff>
      <xdr:row>58</xdr:row>
      <xdr:rowOff>84461</xdr:rowOff>
    </xdr:to>
    <xdr:pic>
      <xdr:nvPicPr>
        <xdr:cNvPr id="2" name="Grafik 1" descr="SchemaMasterNeu170223-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558416" cy="10691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426096</xdr:colOff>
      <xdr:row>58</xdr:row>
      <xdr:rowOff>84461</xdr:rowOff>
    </xdr:to>
    <xdr:pic>
      <xdr:nvPicPr>
        <xdr:cNvPr id="2" name="Grafik 1" descr="SchemaMasterAlt170222-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558416" cy="10691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M44"/>
  <sheetViews>
    <sheetView tabSelected="1" zoomScaleNormal="100" workbookViewId="0"/>
  </sheetViews>
  <sheetFormatPr baseColWidth="10" defaultRowHeight="15" x14ac:dyDescent="0.25"/>
  <cols>
    <col min="1" max="1" width="20.28515625" customWidth="1"/>
    <col min="2" max="2" width="38.42578125" customWidth="1"/>
    <col min="3" max="3" width="13.140625" customWidth="1"/>
    <col min="4" max="4" width="7.5703125" customWidth="1"/>
    <col min="5" max="5" width="31.28515625" customWidth="1"/>
    <col min="6" max="6" width="25.7109375" customWidth="1"/>
  </cols>
  <sheetData>
    <row r="1" spans="1:13" ht="21" x14ac:dyDescent="0.35">
      <c r="A1" s="40"/>
      <c r="B1" s="50" t="s">
        <v>21</v>
      </c>
      <c r="C1" s="50"/>
      <c r="D1" s="50"/>
      <c r="E1" s="50"/>
      <c r="H1" s="1"/>
      <c r="I1" s="1"/>
      <c r="J1" s="1"/>
      <c r="K1" s="1"/>
      <c r="L1" s="1"/>
      <c r="M1" s="1"/>
    </row>
    <row r="2" spans="1:13" ht="15.75" thickBot="1" x14ac:dyDescent="0.3">
      <c r="A2" s="4"/>
      <c r="H2" s="1"/>
      <c r="I2" s="1"/>
      <c r="J2" s="1"/>
      <c r="K2" s="1"/>
      <c r="L2" s="1"/>
      <c r="M2" s="1"/>
    </row>
    <row r="3" spans="1:13" ht="15.75" thickBot="1" x14ac:dyDescent="0.3">
      <c r="B3" s="18" t="s">
        <v>19</v>
      </c>
      <c r="C3" s="29"/>
      <c r="D3" s="25"/>
      <c r="H3" s="1"/>
      <c r="I3" s="1"/>
      <c r="J3" s="1"/>
      <c r="K3" s="3"/>
      <c r="L3" s="1"/>
      <c r="M3" s="1"/>
    </row>
    <row r="4" spans="1:13" x14ac:dyDescent="0.25">
      <c r="F4" s="1"/>
      <c r="G4" s="1"/>
      <c r="H4" s="1"/>
      <c r="I4" s="1"/>
      <c r="J4" s="1"/>
      <c r="K4" s="3"/>
      <c r="L4" s="1"/>
      <c r="M4" s="1"/>
    </row>
    <row r="5" spans="1:13" ht="19.5" thickBot="1" x14ac:dyDescent="0.35">
      <c r="A5" s="10" t="s">
        <v>41</v>
      </c>
      <c r="B5" s="11" t="s">
        <v>13</v>
      </c>
      <c r="C5" s="22" t="s">
        <v>22</v>
      </c>
      <c r="D5" s="13" t="s">
        <v>2</v>
      </c>
      <c r="E5" s="9" t="s">
        <v>17</v>
      </c>
      <c r="F5" s="1"/>
      <c r="G5" s="15"/>
      <c r="H5" s="1"/>
      <c r="I5" s="1"/>
      <c r="J5" s="1"/>
      <c r="K5" s="3"/>
      <c r="L5" s="1"/>
      <c r="M5" s="1"/>
    </row>
    <row r="6" spans="1:13" ht="15.75" thickTop="1" x14ac:dyDescent="0.25">
      <c r="A6" s="7" t="s">
        <v>0</v>
      </c>
      <c r="B6" s="12" t="s">
        <v>15</v>
      </c>
      <c r="C6" s="24"/>
      <c r="D6" s="33">
        <v>1.3</v>
      </c>
      <c r="E6" s="1">
        <v>7</v>
      </c>
      <c r="F6" s="1"/>
      <c r="G6" s="3"/>
      <c r="H6" s="1"/>
      <c r="I6" s="1"/>
      <c r="J6" s="1"/>
      <c r="K6" s="3"/>
      <c r="L6" s="1"/>
      <c r="M6" s="1"/>
    </row>
    <row r="7" spans="1:13" ht="15" customHeight="1" x14ac:dyDescent="0.25">
      <c r="A7" s="7" t="s">
        <v>38</v>
      </c>
      <c r="B7" s="12" t="s">
        <v>14</v>
      </c>
      <c r="C7" s="24"/>
      <c r="D7" s="33">
        <v>2.2999999999999998</v>
      </c>
      <c r="E7">
        <v>6</v>
      </c>
      <c r="F7" s="1"/>
      <c r="G7" s="3"/>
      <c r="H7" s="1"/>
      <c r="I7" s="1"/>
      <c r="J7" s="1"/>
      <c r="K7" s="3"/>
      <c r="L7" s="1"/>
      <c r="M7" s="1"/>
    </row>
    <row r="8" spans="1:13" x14ac:dyDescent="0.25">
      <c r="A8" s="7" t="s">
        <v>1</v>
      </c>
      <c r="B8" s="12" t="s">
        <v>44</v>
      </c>
      <c r="C8" s="24"/>
      <c r="D8" s="33">
        <v>4</v>
      </c>
      <c r="E8" s="2" t="s">
        <v>9</v>
      </c>
      <c r="F8" s="1"/>
      <c r="G8" s="3"/>
      <c r="H8" s="1"/>
      <c r="I8" s="1"/>
      <c r="J8" s="1"/>
      <c r="K8" s="3"/>
      <c r="L8" s="1"/>
      <c r="M8" s="3"/>
    </row>
    <row r="9" spans="1:13" x14ac:dyDescent="0.25">
      <c r="A9" s="7" t="s">
        <v>3</v>
      </c>
      <c r="B9" s="35"/>
      <c r="C9" s="24"/>
      <c r="D9" s="33">
        <v>1.7</v>
      </c>
      <c r="E9">
        <v>6</v>
      </c>
      <c r="F9" s="1"/>
      <c r="G9" s="3"/>
      <c r="H9" s="1"/>
      <c r="I9" s="1"/>
      <c r="J9" s="1"/>
      <c r="K9" s="3"/>
      <c r="L9" s="1"/>
      <c r="M9" s="3"/>
    </row>
    <row r="10" spans="1:13" ht="10.15" customHeight="1" x14ac:dyDescent="0.25">
      <c r="A10" s="7"/>
      <c r="B10" s="12"/>
      <c r="C10" s="23"/>
      <c r="D10" s="14"/>
      <c r="F10" s="1"/>
      <c r="G10" s="3"/>
      <c r="H10" s="1"/>
      <c r="I10" s="1"/>
      <c r="J10" s="1"/>
      <c r="K10" s="3"/>
      <c r="L10" s="1"/>
      <c r="M10" s="3"/>
    </row>
    <row r="11" spans="1:13" x14ac:dyDescent="0.25">
      <c r="A11" s="7" t="s">
        <v>39</v>
      </c>
      <c r="B11" s="35"/>
      <c r="C11" s="24"/>
      <c r="D11" s="33">
        <v>1</v>
      </c>
      <c r="E11" s="2" t="s">
        <v>10</v>
      </c>
      <c r="F11" s="1"/>
      <c r="G11" s="3"/>
      <c r="H11" s="1"/>
      <c r="I11" s="1"/>
      <c r="J11" s="1"/>
      <c r="K11" s="3"/>
      <c r="L11" s="1"/>
      <c r="M11" s="3"/>
    </row>
    <row r="12" spans="1:13" ht="15" customHeight="1" x14ac:dyDescent="0.25">
      <c r="A12" s="7" t="s">
        <v>40</v>
      </c>
      <c r="B12" s="35"/>
      <c r="C12" s="24"/>
      <c r="D12" s="33">
        <v>2.7</v>
      </c>
      <c r="E12" s="2" t="s">
        <v>10</v>
      </c>
      <c r="F12" s="1"/>
      <c r="G12" s="3"/>
      <c r="H12" s="1"/>
      <c r="I12" s="1"/>
      <c r="J12" s="1"/>
      <c r="K12" s="3"/>
      <c r="L12" s="1"/>
      <c r="M12" s="3"/>
    </row>
    <row r="13" spans="1:13" x14ac:dyDescent="0.25">
      <c r="A13" s="7" t="s">
        <v>42</v>
      </c>
      <c r="B13" s="35"/>
      <c r="C13" s="24"/>
      <c r="D13" s="33">
        <v>3.3</v>
      </c>
      <c r="E13" s="2" t="s">
        <v>10</v>
      </c>
      <c r="F13" s="1"/>
      <c r="G13" s="3"/>
      <c r="H13" s="1"/>
      <c r="I13" s="1"/>
      <c r="J13" s="1"/>
      <c r="K13" s="3"/>
      <c r="L13" s="1"/>
      <c r="M13" s="3"/>
    </row>
    <row r="14" spans="1:13" x14ac:dyDescent="0.25">
      <c r="A14" s="8" t="s">
        <v>43</v>
      </c>
      <c r="B14" s="35"/>
      <c r="C14" s="24"/>
      <c r="D14" s="33">
        <v>3.7</v>
      </c>
      <c r="E14" s="2">
        <v>4</v>
      </c>
      <c r="F14" s="1"/>
      <c r="G14" s="20"/>
      <c r="H14" s="1"/>
      <c r="I14" s="1"/>
      <c r="J14" s="1"/>
      <c r="K14" s="3"/>
      <c r="L14" s="1"/>
      <c r="M14" s="3"/>
    </row>
    <row r="15" spans="1:13" ht="10.15" customHeight="1" x14ac:dyDescent="0.25">
      <c r="A15" s="7"/>
      <c r="B15" s="12"/>
      <c r="C15" s="23"/>
      <c r="D15" s="14"/>
      <c r="F15" s="1"/>
      <c r="G15" s="3"/>
      <c r="H15" s="1"/>
      <c r="I15" s="1"/>
      <c r="J15" s="1"/>
      <c r="K15" s="3"/>
      <c r="L15" s="1"/>
      <c r="M15" s="3"/>
    </row>
    <row r="16" spans="1:13" ht="15" customHeight="1" x14ac:dyDescent="0.25">
      <c r="A16" s="7" t="s">
        <v>4</v>
      </c>
      <c r="B16" s="35"/>
      <c r="C16" s="24"/>
      <c r="D16" s="33">
        <v>1.7</v>
      </c>
      <c r="E16" s="34">
        <v>6</v>
      </c>
      <c r="F16" s="19" t="str">
        <f>IF(SUM(E16:E21)&lt;16,"&lt;- FEHLER:",IF(SUM(E16:E18)&lt;8,"&lt;- FEHLER:",""))</f>
        <v/>
      </c>
      <c r="G16" s="3"/>
      <c r="H16" s="1"/>
      <c r="I16" s="1"/>
      <c r="J16" s="1"/>
      <c r="K16" s="3"/>
      <c r="L16" s="1"/>
      <c r="M16" s="3"/>
    </row>
    <row r="17" spans="1:13" ht="15" customHeight="1" x14ac:dyDescent="0.25">
      <c r="A17" s="7" t="s">
        <v>4</v>
      </c>
      <c r="B17" s="35" t="s">
        <v>16</v>
      </c>
      <c r="C17" s="24"/>
      <c r="D17" s="33">
        <v>1.3</v>
      </c>
      <c r="E17" s="34">
        <v>4</v>
      </c>
      <c r="F17" s="19" t="str">
        <f>IF(SUM(E16:E21)&lt;16,"&lt;- ",IF(SUM(E16:E18)&lt;8,"&lt;- Summe LP Kernfächer muss",""))</f>
        <v/>
      </c>
      <c r="G17" s="3"/>
      <c r="H17" s="1"/>
      <c r="I17" s="1"/>
      <c r="J17" s="1"/>
      <c r="K17" s="3"/>
      <c r="L17" s="1"/>
      <c r="M17" s="3"/>
    </row>
    <row r="18" spans="1:13" x14ac:dyDescent="0.25">
      <c r="A18" s="7" t="s">
        <v>4</v>
      </c>
      <c r="B18" s="35" t="s">
        <v>16</v>
      </c>
      <c r="C18" s="24"/>
      <c r="D18" s="33">
        <v>2.7</v>
      </c>
      <c r="E18" s="34">
        <v>0</v>
      </c>
      <c r="F18" s="19" t="str">
        <f>IF(SUM(E16:E21)&lt;16,"&lt;- Summe der LP",IF(SUM(E16:E18)&lt;8,"&lt;- größer/gleich 8 LP sein!!",""))</f>
        <v/>
      </c>
      <c r="G18" s="3"/>
      <c r="H18" s="1"/>
      <c r="I18" s="1"/>
      <c r="J18" s="1"/>
      <c r="K18" s="3"/>
      <c r="L18" s="1"/>
      <c r="M18" s="3"/>
    </row>
    <row r="19" spans="1:13" ht="15" customHeight="1" x14ac:dyDescent="0.25">
      <c r="A19" s="7" t="s">
        <v>5</v>
      </c>
      <c r="B19" s="35"/>
      <c r="C19" s="24"/>
      <c r="D19" s="33">
        <v>2.7</v>
      </c>
      <c r="E19" s="34">
        <v>3</v>
      </c>
      <c r="F19" s="19" t="str">
        <f>IF(SUM(E16:E21)&lt;16,"&lt;- im Schwerpunkt","")</f>
        <v/>
      </c>
      <c r="G19" s="3"/>
      <c r="H19" s="1"/>
      <c r="I19" s="1"/>
      <c r="J19" s="1"/>
      <c r="K19" s="3"/>
      <c r="L19" s="1"/>
      <c r="M19" s="3"/>
    </row>
    <row r="20" spans="1:13" x14ac:dyDescent="0.25">
      <c r="A20" s="7" t="s">
        <v>5</v>
      </c>
      <c r="B20" s="35" t="s">
        <v>16</v>
      </c>
      <c r="C20" s="24"/>
      <c r="D20" s="33">
        <v>2</v>
      </c>
      <c r="E20" s="34">
        <v>3</v>
      </c>
      <c r="F20" s="19" t="str">
        <f>IF(SUM(E16:E21)&lt;16,"&lt;- muss größer","")</f>
        <v/>
      </c>
      <c r="G20" s="3"/>
      <c r="H20" s="1"/>
      <c r="I20" s="1"/>
      <c r="J20" s="1"/>
      <c r="K20" s="3"/>
      <c r="L20" s="1"/>
      <c r="M20" s="3"/>
    </row>
    <row r="21" spans="1:13" x14ac:dyDescent="0.25">
      <c r="A21" s="7" t="s">
        <v>5</v>
      </c>
      <c r="B21" s="35" t="s">
        <v>16</v>
      </c>
      <c r="C21" s="24"/>
      <c r="D21" s="33">
        <v>1</v>
      </c>
      <c r="E21" s="34">
        <v>0</v>
      </c>
      <c r="F21" s="19" t="str">
        <f>IF(SUM(E16:E21)&lt;16,"&lt;- oder gleich 16 sein!!","")</f>
        <v/>
      </c>
      <c r="G21" s="3"/>
      <c r="H21" s="1"/>
      <c r="I21" s="1"/>
      <c r="J21" s="1"/>
      <c r="K21" s="3"/>
      <c r="L21" s="1"/>
      <c r="M21" s="3"/>
    </row>
    <row r="22" spans="1:13" ht="10.15" customHeight="1" x14ac:dyDescent="0.25">
      <c r="A22" s="7"/>
      <c r="B22" s="12"/>
      <c r="C22" s="23"/>
      <c r="D22" s="14"/>
      <c r="F22" s="1"/>
      <c r="G22" s="3"/>
      <c r="H22" s="1"/>
      <c r="I22" s="1"/>
      <c r="J22" s="1"/>
      <c r="K22" s="3"/>
      <c r="L22" s="1"/>
      <c r="M22" s="3"/>
    </row>
    <row r="23" spans="1:13" ht="15" customHeight="1" x14ac:dyDescent="0.25">
      <c r="A23" s="7" t="s">
        <v>6</v>
      </c>
      <c r="B23" s="35"/>
      <c r="C23" s="24"/>
      <c r="D23" s="33">
        <v>3.3</v>
      </c>
      <c r="E23" s="34">
        <v>5</v>
      </c>
      <c r="F23" s="19" t="str">
        <f>IF(SUM(E23:E28)&lt;16,"&lt;- FEHLER:",IF(SUM(E23:E25)&lt;8,"&lt;- FEHLER:",""))</f>
        <v/>
      </c>
      <c r="G23" s="3"/>
      <c r="H23" s="1"/>
      <c r="I23" s="1"/>
      <c r="J23" s="1"/>
      <c r="K23" s="3"/>
      <c r="L23" s="1"/>
      <c r="M23" s="3"/>
    </row>
    <row r="24" spans="1:13" ht="15" customHeight="1" x14ac:dyDescent="0.25">
      <c r="A24" s="7" t="s">
        <v>6</v>
      </c>
      <c r="B24" s="35" t="s">
        <v>16</v>
      </c>
      <c r="C24" s="24"/>
      <c r="D24" s="33">
        <v>4</v>
      </c>
      <c r="E24" s="34">
        <v>4</v>
      </c>
      <c r="F24" s="19" t="str">
        <f>IF(SUM(E23:E28)&lt;16,"&lt;- ",IF(SUM(E23:E25)&lt;8,"&lt;- Summe LP Kernfächer muss",""))</f>
        <v/>
      </c>
      <c r="G24" s="3"/>
      <c r="H24" s="1"/>
      <c r="I24" s="1"/>
      <c r="J24" s="1"/>
      <c r="K24" s="3"/>
      <c r="L24" s="1"/>
      <c r="M24" s="3"/>
    </row>
    <row r="25" spans="1:13" x14ac:dyDescent="0.25">
      <c r="A25" s="7" t="s">
        <v>6</v>
      </c>
      <c r="B25" s="35" t="s">
        <v>16</v>
      </c>
      <c r="C25" s="24"/>
      <c r="D25" s="33">
        <v>1.3</v>
      </c>
      <c r="E25" s="34">
        <v>0</v>
      </c>
      <c r="F25" s="19" t="str">
        <f>IF(SUM(E23:E28)&lt;16,"&lt;- Summe der LP",IF(SUM(E23:E25)&lt;8,"&lt;- größer/gleich 8 LP sein!!",""))</f>
        <v/>
      </c>
      <c r="G25" s="3"/>
      <c r="H25" s="1"/>
      <c r="I25" s="1"/>
      <c r="J25" s="1"/>
      <c r="K25" s="3"/>
      <c r="L25" s="1"/>
      <c r="M25" s="3"/>
    </row>
    <row r="26" spans="1:13" ht="15" customHeight="1" x14ac:dyDescent="0.25">
      <c r="A26" s="7" t="s">
        <v>7</v>
      </c>
      <c r="B26" s="35"/>
      <c r="C26" s="24"/>
      <c r="D26" s="33">
        <v>1</v>
      </c>
      <c r="E26" s="34">
        <v>4</v>
      </c>
      <c r="F26" s="19" t="str">
        <f>IF(SUM(E23:E28)&lt;16,"&lt;- im Schwerpunkt","")</f>
        <v/>
      </c>
      <c r="G26" s="3"/>
      <c r="H26" s="1"/>
      <c r="I26" s="1"/>
      <c r="J26" s="1"/>
      <c r="K26" s="3"/>
      <c r="L26" s="1"/>
      <c r="M26" s="3"/>
    </row>
    <row r="27" spans="1:13" x14ac:dyDescent="0.25">
      <c r="A27" s="7" t="s">
        <v>7</v>
      </c>
      <c r="B27" s="35" t="s">
        <v>16</v>
      </c>
      <c r="C27" s="24"/>
      <c r="D27" s="33">
        <v>2.7</v>
      </c>
      <c r="E27" s="34">
        <v>4</v>
      </c>
      <c r="F27" s="19" t="str">
        <f>IF(SUM(E23:E28)&lt;16,"&lt;- muss größer","")</f>
        <v/>
      </c>
      <c r="G27" s="3"/>
      <c r="H27" s="1"/>
      <c r="I27" s="1"/>
      <c r="J27" s="1"/>
      <c r="K27" s="1"/>
      <c r="L27" s="1"/>
      <c r="M27" s="3"/>
    </row>
    <row r="28" spans="1:13" x14ac:dyDescent="0.25">
      <c r="A28" s="7" t="s">
        <v>7</v>
      </c>
      <c r="B28" s="35" t="s">
        <v>16</v>
      </c>
      <c r="C28" s="24"/>
      <c r="D28" s="33">
        <v>3.7</v>
      </c>
      <c r="E28" s="34">
        <v>0</v>
      </c>
      <c r="F28" s="19" t="str">
        <f>IF(SUM(E23:E28)&lt;16,"&lt;- oder gleich 16 sein!!","")</f>
        <v/>
      </c>
      <c r="G28" s="3"/>
      <c r="H28" s="1"/>
      <c r="I28" s="1"/>
      <c r="J28" s="1"/>
      <c r="K28" s="1"/>
      <c r="L28" s="1"/>
      <c r="M28" s="1"/>
    </row>
    <row r="29" spans="1:13" ht="10.15" customHeight="1" x14ac:dyDescent="0.25">
      <c r="A29" s="7"/>
      <c r="B29" s="12"/>
      <c r="C29" s="23"/>
      <c r="D29" s="14"/>
      <c r="F29" s="1"/>
      <c r="G29" s="3"/>
    </row>
    <row r="30" spans="1:13" ht="15" customHeight="1" x14ac:dyDescent="0.25">
      <c r="A30" s="7" t="s">
        <v>8</v>
      </c>
      <c r="B30" s="12" t="s">
        <v>8</v>
      </c>
      <c r="C30" s="24"/>
      <c r="D30" s="33">
        <v>1</v>
      </c>
      <c r="E30" s="5" t="s">
        <v>12</v>
      </c>
      <c r="F30" s="1"/>
      <c r="G30" s="3"/>
    </row>
    <row r="31" spans="1:13" ht="10.15" customHeight="1" x14ac:dyDescent="0.25">
      <c r="A31" s="7"/>
      <c r="B31" s="26"/>
      <c r="C31" s="27"/>
      <c r="D31" s="27"/>
      <c r="E31" s="1"/>
      <c r="F31" s="1"/>
      <c r="G31" s="1"/>
    </row>
    <row r="32" spans="1:13" ht="15" customHeight="1" x14ac:dyDescent="0.25">
      <c r="A32" s="8" t="s">
        <v>23</v>
      </c>
      <c r="B32" s="36"/>
      <c r="C32" s="28"/>
      <c r="D32" s="30" t="s">
        <v>30</v>
      </c>
      <c r="E32" s="1">
        <v>6</v>
      </c>
      <c r="F32" s="1"/>
      <c r="G32" s="1"/>
    </row>
    <row r="33" spans="1:7" ht="15" customHeight="1" x14ac:dyDescent="0.25">
      <c r="A33" s="8" t="s">
        <v>24</v>
      </c>
      <c r="B33" s="36"/>
      <c r="C33" s="28"/>
      <c r="D33" s="30" t="s">
        <v>30</v>
      </c>
      <c r="E33" s="1">
        <v>4</v>
      </c>
      <c r="F33" s="1"/>
      <c r="G33" s="1"/>
    </row>
    <row r="34" spans="1:7" ht="15" customHeight="1" x14ac:dyDescent="0.25">
      <c r="A34" s="8" t="s">
        <v>25</v>
      </c>
      <c r="B34" s="36"/>
      <c r="C34" s="28"/>
      <c r="D34" s="30" t="s">
        <v>30</v>
      </c>
      <c r="E34" s="42" t="s">
        <v>31</v>
      </c>
      <c r="F34" s="1"/>
      <c r="G34" s="1"/>
    </row>
    <row r="35" spans="1:7" ht="15" customHeight="1" x14ac:dyDescent="0.25">
      <c r="A35" s="8" t="s">
        <v>27</v>
      </c>
      <c r="B35" s="45" t="s">
        <v>29</v>
      </c>
      <c r="C35" s="28"/>
      <c r="D35" s="30" t="s">
        <v>30</v>
      </c>
      <c r="E35" s="25">
        <v>2</v>
      </c>
      <c r="F35" s="1"/>
      <c r="G35" s="1"/>
    </row>
    <row r="36" spans="1:7" ht="15" customHeight="1" x14ac:dyDescent="0.25">
      <c r="A36" s="8" t="s">
        <v>26</v>
      </c>
      <c r="B36" s="43" t="s">
        <v>28</v>
      </c>
      <c r="C36" s="28"/>
      <c r="D36" s="30" t="s">
        <v>30</v>
      </c>
      <c r="E36" s="25">
        <v>8</v>
      </c>
      <c r="F36" s="1"/>
      <c r="G36" s="1"/>
    </row>
    <row r="37" spans="1:7" ht="10.15" customHeight="1" thickBot="1" x14ac:dyDescent="0.3">
      <c r="A37" s="1"/>
      <c r="B37" s="44"/>
      <c r="C37" s="16"/>
      <c r="D37" s="16"/>
      <c r="E37" s="16"/>
      <c r="F37" s="1"/>
      <c r="G37" s="1"/>
    </row>
    <row r="38" spans="1:7" ht="19.5" thickTop="1" x14ac:dyDescent="0.3">
      <c r="B38" s="31" t="s">
        <v>18</v>
      </c>
      <c r="C38" s="6"/>
      <c r="D38" s="21">
        <f>Nebenrechnung!Q7</f>
        <v>2.1</v>
      </c>
      <c r="E38" s="39">
        <f>Nebenrechnung!Q9</f>
        <v>2.1526000000000001</v>
      </c>
      <c r="F38" s="38"/>
    </row>
    <row r="39" spans="1:7" ht="10.15" customHeight="1" x14ac:dyDescent="0.25">
      <c r="B39" s="17"/>
      <c r="C39" s="17"/>
      <c r="D39" s="17"/>
    </row>
    <row r="40" spans="1:7" ht="18.75" x14ac:dyDescent="0.3">
      <c r="B40" s="31" t="s">
        <v>20</v>
      </c>
      <c r="C40" s="6"/>
      <c r="D40" s="21">
        <f>Nebenrechnung!M7</f>
        <v>2</v>
      </c>
      <c r="E40" s="39">
        <f>Nebenrechnung!M9</f>
        <v>2.0520999999999998</v>
      </c>
      <c r="F40" s="38"/>
    </row>
    <row r="41" spans="1:7" x14ac:dyDescent="0.25">
      <c r="B41" s="46"/>
      <c r="C41" s="17"/>
      <c r="D41" s="48"/>
      <c r="E41" s="49"/>
    </row>
    <row r="42" spans="1:7" x14ac:dyDescent="0.25">
      <c r="B42" s="47"/>
      <c r="C42" s="17"/>
      <c r="D42" s="48"/>
      <c r="E42" s="49"/>
    </row>
    <row r="43" spans="1:7" x14ac:dyDescent="0.25">
      <c r="B43" s="51" t="s">
        <v>45</v>
      </c>
      <c r="C43" s="51"/>
      <c r="D43" s="51"/>
      <c r="E43" s="51"/>
      <c r="F43" s="41"/>
    </row>
    <row r="44" spans="1:7" x14ac:dyDescent="0.25">
      <c r="B44" s="51" t="s">
        <v>46</v>
      </c>
      <c r="C44" s="51"/>
      <c r="D44" s="51"/>
      <c r="E44" s="51"/>
      <c r="F44" s="41"/>
    </row>
  </sheetData>
  <sheetProtection algorithmName="SHA-512" hashValue="KDDuBvaLUsXZa6OXtjXelCYKdsHi3GqNXErpgtX7XjQKOS8psbEl5RYrR4fm0CkcnigGP+1NJfnhGrjMS0/dXQ==" saltValue="gGGBC3Cze5DeyDuE043vBg==" spinCount="100000" sheet="1" objects="1" scenarios="1"/>
  <protectedRanges>
    <protectedRange sqref="B32:B34" name="Bereich12"/>
    <protectedRange sqref="E25:E28" name="Bereich11"/>
    <protectedRange sqref="E18:E21" name="Bereich10"/>
    <protectedRange sqref="B25:B28" name="Bereich9"/>
    <protectedRange sqref="B18:B21" name="Bereich8"/>
    <protectedRange sqref="B11:B14" name="Bereich7"/>
    <protectedRange sqref="B9" name="Bereich6"/>
    <protectedRange sqref="D30" name="Bereich5"/>
    <protectedRange sqref="D25:D28" name="Bereich4"/>
    <protectedRange sqref="D18:D21" name="Bereich3"/>
    <protectedRange sqref="D11:D14" name="Bereich2"/>
    <protectedRange sqref="D6:D9" name="Bereich1"/>
  </protectedRanges>
  <mergeCells count="3">
    <mergeCell ref="B1:E1"/>
    <mergeCell ref="B43:E43"/>
    <mergeCell ref="B44:E44"/>
  </mergeCells>
  <dataValidations count="37">
    <dataValidation allowBlank="1" showDropDown="1" showInputMessage="1" showErrorMessage="1" errorTitle="Ungültiger Wert!" error="Mögliche Werte:_x000a_1,0 1,3 1,7 2,0 2,3 2,7 3,0 3,3 3,7 4,0_x000a_Bei englischem Layout:_x000a_1.0 1.3 1.7 2.0 2.3 2.7 3.0 3.3 3.7 4.0" prompt="Bei unbenoteten Leistungen 0,0 eintragen!" sqref="D30"/>
    <dataValidation type="whole" operator="greaterThanOrEqual" allowBlank="1" showInputMessage="1" showErrorMessage="1" promptTitle="Hinweis:" prompt="Bei nicht belegten Ergänzungs-fächern 0 LP eintragen" sqref="E26:E28 E19:E21">
      <formula1>0</formula1>
    </dataValidation>
    <dataValidation allowBlank="1" showInputMessage="1" showErrorMessage="1" promptTitle="Zeile:" prompt="Mathe-matische Methoden" sqref="A9:C9"/>
    <dataValidation allowBlank="1" showInputMessage="1" showErrorMessage="1" promptTitle="Zeile:" prompt="Produkt-entstehung: Bauteil-dimensionierung" sqref="C8"/>
    <dataValidation allowBlank="1" showInputMessage="1" showErrorMessage="1" promptTitle="Zeile:" prompt="Produkt-entstehung: Entwicklungs-methodik" sqref="A7:C7"/>
    <dataValidation allowBlank="1" showInputMessage="1" showErrorMessage="1" promptTitle="Zeile:" prompt="Grundlagen und Methoden der Vertiefungsrichtung 1 (alt: Wahlpflichtfach 1)" sqref="C11"/>
    <dataValidation allowBlank="1" showInputMessage="1" showErrorMessage="1" promptTitle="Zeile:" prompt="Grundlagen und Methoden der Vertiefungsrichtung 2 (alt: Wahlpflichtfach 2)" sqref="C12"/>
    <dataValidation allowBlank="1" showInputMessage="1" showErrorMessage="1" promptTitle="Zeile:" prompt="Wahlpflicht-modul 2 (alt: Wahlpflichtfach 3)" sqref="C13"/>
    <dataValidation allowBlank="1" showInputMessage="1" showErrorMessage="1" promptTitle="Zeile:" prompt="Wahlpflicht-modul 1 (alt: Wahlfach)" sqref="C14"/>
    <dataValidation type="whole" operator="greaterThanOrEqual" allowBlank="1" showInputMessage="1" showErrorMessage="1" promptTitle="Hinweis:" prompt="Bei nicht belegten Kern-fächern 0 LP eintragen" sqref="E25">
      <formula1>0</formula1>
    </dataValidation>
    <dataValidation allowBlank="1" showDropDown="1" showInputMessage="1" showErrorMessage="1" errorTitle="Ungültiger Wert!" error="Mögliche Werte:_x000a_0,0 1,0 1,3 1,7 2,0 2,3 2,7 3,0 3,3 3,7 4,0_x000a_Bei englischem Layout:_x000a_0.0 1.0 1.3 1.7 2.0 2.3 2.7 3.0 3.3 3.7 4.0" promptTitle="Hinweis" prompt="Bei unbenoteten Leistungen 0,0 eintragen!" sqref="D19"/>
    <dataValidation allowBlank="1" showDropDown="1" showInputMessage="1" showErrorMessage="1" errorTitle="Ungültiger Wert!" error="Mögliche Werte:_x000a_0,0 1,0 1,3 1,7 2,0 2,3 2,7 3,0 3,3 3,7 4,0_x000a_Bei englischem Layout:_x000a_0.0 1.0 1.3 1.7 2.0 2.3 2.7 3.0 3.3 3.7 4.0" promptTitle="Hinweis:" prompt="Bei unbenoteten Leistungen 0,0 eintragen!" sqref="D28 D21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Zeile:" prompt="Produktentstehung: Entwicklungsmethodik_x000a_Bei unbenoteten Leistungen 0,0 eintragen!" sqref="D7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Zeile:" prompt="Produktentstehung: Bauteildimensionierung_x000a_Bei unbenoteten Leistungen 0,0 eintragen!" sqref="D8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Zeile:" prompt="Mathematische Methoden_x000a_Bei unbenoteten Leistungen 0,0 eintragen!" sqref="D9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Zeile:" prompt="Grundlagen und Methoden der Vertiefungsrichtung 1 (alt: Wahlpflichtfach 1)_x000a_Bei unbenoteten Leistungen 0,0 eintragen!" sqref="D11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Zeile:" prompt="Grundlagen und Methoden der Vertiefungsrichtung 2 (alt: Wahlpflichtfach 2)_x000a_Bei unbenoteten Leistungen 0,0 eintragen!" sqref="D12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Zeile:" prompt="Wahlpflichtmodul 2 (alt: Wahlpflichtfach 3)_x000a_Bei unbenoteten Leistungen 0,0 eintragen!" sqref="D13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Zeile:" prompt="Wahlpflichtmodul 1 (alt: Wahlfach)_x000a_Bei unbenoteten Leistungen 0,0 eintragen!" sqref="D14"/>
    <dataValidation allowBlank="1" showInputMessage="1" showErrorMessage="1" promptTitle="Zeile:" prompt="Wahlfach Nat/inf/etit" sqref="A32:C32"/>
    <dataValidation allowBlank="1" showInputMessage="1" showErrorMessage="1" promptTitle="Zeile:" prompt="Wahlfach Wirtschaft/ Recht" sqref="A33:C33"/>
    <dataValidation type="whole" operator="greaterThanOrEqual" allowBlank="1" showInputMessage="1" showErrorMessage="1" promptTitle="Hinweis:" prompt="Bei nicht belegten Kern-fächern 0 LP eintragen" sqref="E16:E18 E23:E24">
      <formula1>0</formula1>
    </dataValidation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Hinweis:" prompt="Falls belegt, hier bitte die eingetragene Note aus dem Online-Notenauszug verwenden!_x000a_Bei unbenoteten Leistungen 0,0 eintragen!" sqref="D25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Hinweis:" prompt="Hier bitte die eingetragene Note aus dem Online-Notenauszug verwenden!_x000a_Bei unbenoteten Leistungen 0,0 eintragen!" sqref="D16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Hinweis:" prompt="Hier bitte die eingetragene Note aus dem Online-Notenauszug verwenden!_x000a_Bei unbenoteten Leistungen 0,0 eintragen!" sqref="D23"/>
    <dataValidation allowBlank="1" showDropDown="1" showInputMessage="1" showErrorMessage="1" errorTitle="Ungültiger Wert:" error="Mögliche Werte:_x000a_1,0 1,3 1,7 2,0 2,3 2,7 3,0 3,3 3,7 4,0_x000a_Bei englischem Layout:_x000a_1.0 1.3 1.7 2.0 2.3 2.7 3.0 3.3 3.7 4.0" promptTitle="Hinweis:" prompt="Falls belegt, hier bitte die eingetragene Note aus dem Online-Notenauszug verwenden!_x000a_Bei unbenoteten Leistungen 0,0 eintragen!" sqref="D24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="Bei unbenoteten Leistungen 0,0 eintragen!" sqref="D6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Hinweis:" prompt="Falls belegt, hier bitte die eingetragene Note aus dem Online-Notenauszug verwenden!_x000a_Bei unbenoteten Leistungen 0,0 eintragen!" sqref="D18"/>
    <dataValidation allowBlank="1" showDropDown="1" showInputMessage="1" showErrorMessage="1" errorTitle="Ungültiger Wert!" error="Mögliche Werte:_x000a_0,0 1,0 1,3 1,7 2,0 2,3 2,7 3,0 3,3 3,7 4,0_x000a_Bei englischem Layout:_x000a_0.0 1.0 1.3 1.7 2.0 2.3 2.7 3.0 3.3 3.7 4.0" promptTitle="Hinweis:" prompt="Bei unbenoteten Leistungen 0,0 eintragen!" sqref="D27"/>
    <dataValidation allowBlank="1" showDropDown="1" showInputMessage="1" showErrorMessage="1" errorTitle="Ungültiger Wert!" error="Mögliche Werte:_x000a_1,0 1,3 1,7 2,0 2,3 2,7 3,0 3,3 3,7 4,0_x000a_Bei englischem Layout:_x000a_1.0 1.3 1.7 2.0 2.3 2.7 3.0 3.3 3.7 4.0" promptTitle="Hinweis:" prompt="Falls belegt, hier bitte die eingetragene Note aus dem Online-Notenauszug verwenden!_x000a_Bei unbenoteten Leistungen 0,0 eintragen!" sqref="D17"/>
    <dataValidation allowBlank="1" showDropDown="1" showInputMessage="1" showErrorMessage="1" errorTitle="Ungültiger Wert!" error="Mögliche Werte:_x000a_0,0 1,0 1,3 1,7 2,0 2,3 2,7 3,0 3,3 3,7 4,0_x000a_Bei englischem Layout:_x000a_0.0 1.0 1.3 1.7 2.0 2.3 2.7 3.0 3.3 3.7 4.0" promptTitle="Hinweis:" prompt="Bei unbenoteten Leistungen 0,0 eintragen!" sqref="D26"/>
    <dataValidation allowBlank="1" showDropDown="1" showInputMessage="1" showErrorMessage="1" errorTitle="Ungültiger Wert!" error="Mögliche Werte:_x000a_0,0 1,0 1,3 1,7 2,0 2,3 2,7 3,0 3,3 3,7 4,0_x000a_Bei englischem Layout:_x000a_0.0 1.0 1.3 1.7 2.0 2.3 2.7 3.0 3.3 3.7 4.0" promptTitle="Hinweis:" prompt="Bei unbenoteten Leistungen 0,0 eintragen!" sqref="D20"/>
    <dataValidation allowBlank="1" showInputMessage="1" showErrorMessage="1" promptTitle="Zeile:" prompt="Produkt-entstehung: Bauteil-dimensionierung" sqref="A8 B8"/>
    <dataValidation allowBlank="1" showInputMessage="1" showErrorMessage="1" promptTitle="Zeile:" prompt="Grundlagen und Methoden der Vertiefungsrichtung 1 (alt: Wahlpflichtfach 1)" sqref="A11 B11"/>
    <dataValidation allowBlank="1" showInputMessage="1" showErrorMessage="1" promptTitle="Zeile:" prompt="Grundlagen und Methoden der Vertiefungsrichtung 2 (alt: Wahlpflichtfach 2)" sqref="A12 B12"/>
    <dataValidation allowBlank="1" showInputMessage="1" showErrorMessage="1" promptTitle="Zeile:" prompt="Wahlpflicht-modul 2 (alt: Wahlpflichtfach 3)" sqref="A13 B13"/>
    <dataValidation allowBlank="1" showInputMessage="1" showErrorMessage="1" promptTitle="Zeile:" prompt="Wahlpflicht-modul 1 (alt: Wahlfach)" sqref="A14 B14"/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5</xdr:row>
                    <xdr:rowOff>0</xdr:rowOff>
                  </from>
                  <to>
                    <xdr:col>2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6</xdr:row>
                    <xdr:rowOff>0</xdr:rowOff>
                  </from>
                  <to>
                    <xdr:col>2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0</xdr:rowOff>
                  </from>
                  <to>
                    <xdr:col>2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8</xdr:row>
                    <xdr:rowOff>0</xdr:rowOff>
                  </from>
                  <to>
                    <xdr:col>2</xdr:col>
                    <xdr:colOff>638175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10</xdr:row>
                    <xdr:rowOff>0</xdr:rowOff>
                  </from>
                  <to>
                    <xdr:col>2</xdr:col>
                    <xdr:colOff>638175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12</xdr:row>
                    <xdr:rowOff>0</xdr:rowOff>
                  </from>
                  <to>
                    <xdr:col>2</xdr:col>
                    <xdr:colOff>638175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11</xdr:row>
                    <xdr:rowOff>0</xdr:rowOff>
                  </from>
                  <to>
                    <xdr:col>2</xdr:col>
                    <xdr:colOff>638175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13</xdr:row>
                    <xdr:rowOff>0</xdr:rowOff>
                  </from>
                  <to>
                    <xdr:col>2</xdr:col>
                    <xdr:colOff>638175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17</xdr:row>
                    <xdr:rowOff>0</xdr:rowOff>
                  </from>
                  <to>
                    <xdr:col>2</xdr:col>
                    <xdr:colOff>638175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18</xdr:row>
                    <xdr:rowOff>0</xdr:rowOff>
                  </from>
                  <to>
                    <xdr:col>2</xdr:col>
                    <xdr:colOff>638175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0</xdr:rowOff>
                  </from>
                  <to>
                    <xdr:col>2</xdr:col>
                    <xdr:colOff>638175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20</xdr:row>
                    <xdr:rowOff>0</xdr:rowOff>
                  </from>
                  <to>
                    <xdr:col>2</xdr:col>
                    <xdr:colOff>638175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24</xdr:row>
                    <xdr:rowOff>0</xdr:rowOff>
                  </from>
                  <to>
                    <xdr:col>2</xdr:col>
                    <xdr:colOff>628650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25</xdr:row>
                    <xdr:rowOff>0</xdr:rowOff>
                  </from>
                  <to>
                    <xdr:col>2</xdr:col>
                    <xdr:colOff>628650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26</xdr:row>
                    <xdr:rowOff>0</xdr:rowOff>
                  </from>
                  <to>
                    <xdr:col>2</xdr:col>
                    <xdr:colOff>628650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27</xdr:row>
                    <xdr:rowOff>0</xdr:rowOff>
                  </from>
                  <to>
                    <xdr:col>2</xdr:col>
                    <xdr:colOff>628650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29</xdr:row>
                    <xdr:rowOff>0</xdr:rowOff>
                  </from>
                  <to>
                    <xdr:col>2</xdr:col>
                    <xdr:colOff>628650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31</xdr:row>
                    <xdr:rowOff>0</xdr:rowOff>
                  </from>
                  <to>
                    <xdr:col>2</xdr:col>
                    <xdr:colOff>628650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32</xdr:row>
                    <xdr:rowOff>0</xdr:rowOff>
                  </from>
                  <to>
                    <xdr:col>2</xdr:col>
                    <xdr:colOff>628650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33</xdr:row>
                    <xdr:rowOff>0</xdr:rowOff>
                  </from>
                  <to>
                    <xdr:col>2</xdr:col>
                    <xdr:colOff>628650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34</xdr:row>
                    <xdr:rowOff>0</xdr:rowOff>
                  </from>
                  <to>
                    <xdr:col>2</xdr:col>
                    <xdr:colOff>628650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35</xdr:row>
                    <xdr:rowOff>0</xdr:rowOff>
                  </from>
                  <to>
                    <xdr:col>2</xdr:col>
                    <xdr:colOff>628650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16</xdr:row>
                    <xdr:rowOff>0</xdr:rowOff>
                  </from>
                  <to>
                    <xdr:col>2</xdr:col>
                    <xdr:colOff>638175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locked="0" defaultSize="0" autoFill="0" autoLine="0" autoPict="0">
                <anchor moveWithCells="1">
                  <from>
                    <xdr:col>2</xdr:col>
                    <xdr:colOff>333375</xdr:colOff>
                    <xdr:row>15</xdr:row>
                    <xdr:rowOff>0</xdr:rowOff>
                  </from>
                  <to>
                    <xdr:col>2</xdr:col>
                    <xdr:colOff>638175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23</xdr:row>
                    <xdr:rowOff>0</xdr:rowOff>
                  </from>
                  <to>
                    <xdr:col>2</xdr:col>
                    <xdr:colOff>628650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locked="0" defaultSize="0" autoFill="0" autoLine="0" autoPict="0">
                <anchor moveWithCells="1">
                  <from>
                    <xdr:col>2</xdr:col>
                    <xdr:colOff>323850</xdr:colOff>
                    <xdr:row>22</xdr:row>
                    <xdr:rowOff>0</xdr:rowOff>
                  </from>
                  <to>
                    <xdr:col>2</xdr:col>
                    <xdr:colOff>628650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Q36"/>
  <sheetViews>
    <sheetView workbookViewId="0"/>
  </sheetViews>
  <sheetFormatPr baseColWidth="10" defaultRowHeight="15" x14ac:dyDescent="0.25"/>
  <cols>
    <col min="12" max="12" width="11.5703125" customWidth="1"/>
  </cols>
  <sheetData>
    <row r="3" spans="1:17" x14ac:dyDescent="0.25">
      <c r="C3" t="s">
        <v>11</v>
      </c>
      <c r="G3" t="s">
        <v>32</v>
      </c>
      <c r="K3" t="s">
        <v>36</v>
      </c>
      <c r="O3" t="s">
        <v>37</v>
      </c>
    </row>
    <row r="4" spans="1:17" x14ac:dyDescent="0.25">
      <c r="C4" t="s">
        <v>33</v>
      </c>
      <c r="D4" t="s">
        <v>34</v>
      </c>
      <c r="E4" t="s">
        <v>35</v>
      </c>
      <c r="G4" t="s">
        <v>33</v>
      </c>
      <c r="H4" t="s">
        <v>34</v>
      </c>
      <c r="I4" t="s">
        <v>35</v>
      </c>
      <c r="K4" t="s">
        <v>33</v>
      </c>
      <c r="L4" t="s">
        <v>34</v>
      </c>
      <c r="M4" t="s">
        <v>35</v>
      </c>
      <c r="O4" t="s">
        <v>33</v>
      </c>
      <c r="P4" t="s">
        <v>34</v>
      </c>
      <c r="Q4" t="s">
        <v>35</v>
      </c>
    </row>
    <row r="6" spans="1:17" x14ac:dyDescent="0.25">
      <c r="A6" s="32" t="b">
        <v>1</v>
      </c>
    </row>
    <row r="7" spans="1:17" x14ac:dyDescent="0.25">
      <c r="A7" s="32" t="b">
        <v>0</v>
      </c>
      <c r="C7">
        <f>(A7*Noten!D7*6+A8*Noten!D8*9)</f>
        <v>36</v>
      </c>
      <c r="D7">
        <f>(IF(Noten!D7,TRUE,FALSE)*6*A7+IF(Noten!D8,TRUE,FALSE)*9*A8)</f>
        <v>9</v>
      </c>
      <c r="E7">
        <f>IFERROR(ROUNDDOWN(C7/D7,1),0)</f>
        <v>4</v>
      </c>
      <c r="G7">
        <f>(A6*Noten!D6*7+A7*Noten!D7*6+A8*Noten!D8*7+A9*Noten!D9*6+E13*(A13*4+A14*4))</f>
        <v>65.099999999999994</v>
      </c>
      <c r="H7">
        <f>(IF(Noten!D6,TRUE,FALSE)*7*A6+IF(Noten!D7,TRUE,FALSE)*6*A7+IF(Noten!D8,TRUE,FALSE)*7*A8+IF(Noten!D9,TRUE,FALSE)*6*A9+NOT(NOT(E13))*(A13*4+A14*4))</f>
        <v>22</v>
      </c>
      <c r="I7">
        <f>IFERROR(ROUNDDOWN(G7/H7,1),0)</f>
        <v>2.9</v>
      </c>
      <c r="K7">
        <f>(I16*(MIN(16,A16*Noten!E16+A17*Noten!E17+A18*Noten!E18+A19*Noten!E19+A20*Noten!E20+A21*Noten!E21)+MIN(16,A23*Noten!E23+A24*Noten!E24+A25*Noten!E25+A26*Noten!E26+A27*Noten!E27+A28*Noten!E28)+A11*4+A12*4))+(I7*(7*A6+6*A7+7*A8+6*A9+A13*4+A14*4+A32*6+A33*4+A34*4+A35*2))+(Noten!D30*(30*A30))</f>
        <v>188.8</v>
      </c>
      <c r="L7">
        <f>(NOT(NOT(I16))*(MIN(16,A16*Noten!E16+A17*Noten!E17+A18*Noten!E18+A19*Noten!E19+A20*Noten!E20+A21*Noten!E21)+MIN(16,A23*Noten!E23+A24*Noten!E24+A25*Noten!E25+A26*Noten!E26+A27*Noten!E27+A28*Noten!E28)+A11*4+A12*4))+(NOT(NOT(I7))*(7*A6+6*A7+7*A8+6*A9+A13*4+A14*4+A32*6+A33*4+A34*4+A35*2))+IF(Noten!D30,30*A30,0)</f>
        <v>92</v>
      </c>
      <c r="M7">
        <f>IFERROR(ROUNDDOWN(K7/L7,1),"!NaN!")</f>
        <v>2</v>
      </c>
      <c r="O7">
        <f>(E7*(A7*6+A8*9)+E16*MIN(16,A16*Noten!E16+A17*Noten!E17+A18*Noten!E18+A19*Noten!E19+A20*Noten!E20+A21*Noten!E21)+E23*MIN(16,A23*Noten!E23+A24*Noten!E24+A25*Noten!E25+A26*Noten!E26+A27*Noten!E27+A28*Noten!E28)+A6*Noten!D6*7+A9*Noten!D9*6+A11*Noten!D11*5+A12*Noten!D12*5+A13*Noten!D13*5+A14*Noten!D14*4+A30*Noten!D30*20)</f>
        <v>163.60000000000002</v>
      </c>
      <c r="P7">
        <f>(NOT(NOT(E7))*(A7*6+A8*9)+NOT(NOT(E16))*MIN(16,A16*Noten!E16+A17*Noten!E17+A18*Noten!E18+A19*Noten!E19+A20*Noten!E20+A21*Noten!E21)+NOT(NOT(E23))*MIN(16,A23*Noten!E23+A24*Noten!E24+A25*Noten!E25+A26*Noten!E26+A27*Noten!E27+A28*Noten!E28)+IF(Noten!D6,TRUE,FALSE)*7*A6+IF(Noten!D9,TRUE,FALSE)*6*A9+IF(Noten!D11,TRUE,FALSE)*5*A11+IF(Noten!D12,TRUE,FALSE)*5*A12+IF(Noten!D13,TRUE,FALSE)*5*A13+IF(Noten!D14,TRUE,FALSE)*4*A14+IF(Noten!D30,TRUE,FALSE)*20*A30)</f>
        <v>76</v>
      </c>
      <c r="Q7">
        <f>IFERROR(ROUNDDOWN(O7/P7,1),"!NaN!")</f>
        <v>2.1</v>
      </c>
    </row>
    <row r="8" spans="1:17" x14ac:dyDescent="0.25">
      <c r="A8" s="32" t="b">
        <v>1</v>
      </c>
    </row>
    <row r="9" spans="1:17" x14ac:dyDescent="0.25">
      <c r="A9" s="32" t="b">
        <v>0</v>
      </c>
      <c r="M9">
        <f>IFERROR(ROUNDDOWN(K7/L7,4),"!NaN!")</f>
        <v>2.0520999999999998</v>
      </c>
      <c r="Q9">
        <f>IFERROR(ROUNDDOWN(O7/P7,4),"!NaN!")</f>
        <v>2.1526000000000001</v>
      </c>
    </row>
    <row r="11" spans="1:17" x14ac:dyDescent="0.25">
      <c r="A11" s="32" t="b">
        <v>1</v>
      </c>
      <c r="C11">
        <f>(A11*Noten!D11*4+A12*Noten!D12*4)</f>
        <v>4</v>
      </c>
      <c r="D11">
        <f>(IF(Noten!D11,TRUE,FALSE)*4*A11+IF(Noten!D12,TRUE,FALSE)*4*A12)</f>
        <v>4</v>
      </c>
      <c r="E11">
        <f>IFERROR(ROUNDDOWN(C11/D11,1),0)</f>
        <v>1</v>
      </c>
    </row>
    <row r="12" spans="1:17" x14ac:dyDescent="0.25">
      <c r="A12" s="32" t="b">
        <v>0</v>
      </c>
    </row>
    <row r="13" spans="1:17" x14ac:dyDescent="0.25">
      <c r="A13" s="32" t="b">
        <v>1</v>
      </c>
      <c r="C13">
        <f>(A13*Noten!D13*4+A14*Noten!D14*4)</f>
        <v>28</v>
      </c>
      <c r="D13">
        <f>(IF(Noten!D13,TRUE,FALSE)*4*A13+IF(Noten!D14,TRUE,FALSE)*4*A14)</f>
        <v>8</v>
      </c>
      <c r="E13">
        <f>IFERROR(ROUNDDOWN(C13/D13,1),0)</f>
        <v>3.5</v>
      </c>
    </row>
    <row r="14" spans="1:17" x14ac:dyDescent="0.25">
      <c r="A14" s="32" t="b">
        <v>1</v>
      </c>
    </row>
    <row r="16" spans="1:17" x14ac:dyDescent="0.25">
      <c r="A16" s="32" t="b">
        <v>0</v>
      </c>
      <c r="C16">
        <f>(A16*Noten!D16*Noten!E16+A17*Noten!D17*Noten!E17+A18*Noten!D18*Noten!E18+A19*Noten!D19*Noten!E19+A20*Noten!D20*Noten!E20+A21*Noten!D21*Noten!E21)</f>
        <v>19.3</v>
      </c>
      <c r="D16">
        <f>(IF(Noten!D16,TRUE,FALSE)*Noten!E16*A16+IF(Noten!D17,TRUE,FALSE)*Noten!E17*A17+IF(Noten!D18,TRUE,FALSE)*Noten!E18*A18+IF(Noten!D19,TRUE,FALSE)*Noten!E19*A19+IF(Noten!D20,TRUE,FALSE)*Noten!E20*A20+IF(Noten!D21,TRUE,FALSE)*Noten!E21*A21)</f>
        <v>10</v>
      </c>
      <c r="E16">
        <f>IFERROR(ROUNDDOWN(C16/D16,1),0)</f>
        <v>1.9</v>
      </c>
      <c r="G16">
        <f>(E16*MIN(16,A16*Noten!E16+A17*Noten!E17+A18*Noten!E18+A19*Noten!E19+A20*Noten!E20+A21*Noten!E21)+E23*MIN(16,A23*Noten!E23+A24*Noten!E24+A25*Noten!E25+A26*Noten!E26+A27*Noten!E27+A28*Noten!E28)+E11*(A11*4+A12*4))</f>
        <v>66.2</v>
      </c>
      <c r="H16">
        <f>(NOT(NOT(E16))*MIN(16,A16*Noten!E16+A17*Noten!E17+A18*Noten!E18+A19*Noten!E19+A20*Noten!E20+A21*Noten!E21)+NOT(NOT(E23))*MIN(16,A23*Noten!E23+A24*Noten!E24+A25*Noten!E25+A26*Noten!E26+A27*Noten!E27+A28*Noten!E28)+NOT(NOT(E11))*(A11*4+A12*4))</f>
        <v>30</v>
      </c>
      <c r="I16">
        <f>IFERROR(ROUNDDOWN(G16/H16,1),0)</f>
        <v>2.2000000000000002</v>
      </c>
    </row>
    <row r="17" spans="1:5" x14ac:dyDescent="0.25">
      <c r="A17" s="32" t="b">
        <v>1</v>
      </c>
    </row>
    <row r="18" spans="1:5" x14ac:dyDescent="0.25">
      <c r="A18" s="32" t="b">
        <v>0</v>
      </c>
    </row>
    <row r="19" spans="1:5" x14ac:dyDescent="0.25">
      <c r="A19" s="32" t="b">
        <v>1</v>
      </c>
    </row>
    <row r="20" spans="1:5" x14ac:dyDescent="0.25">
      <c r="A20" s="32" t="b">
        <v>1</v>
      </c>
    </row>
    <row r="21" spans="1:5" x14ac:dyDescent="0.25">
      <c r="A21" s="32" t="b">
        <v>0</v>
      </c>
    </row>
    <row r="23" spans="1:5" s="37" customFormat="1" x14ac:dyDescent="0.25">
      <c r="A23" s="32" t="b">
        <v>1</v>
      </c>
      <c r="C23" s="37">
        <f>(A23*Noten!D23*Noten!E23+A24*Noten!D24*Noten!E24+A25*Noten!D25*Noten!E25+A26*Noten!D26*Noten!E26+A27*Noten!D27*Noten!E27+A28*Noten!D28*Noten!E28)</f>
        <v>47.3</v>
      </c>
      <c r="D23" s="37">
        <f>(IF(Noten!D23,TRUE,FALSE)*Noten!E23*A23+IF(Noten!D24,TRUE,FALSE)*Noten!E24*A24+IF(Noten!D25,TRUE,FALSE)*Noten!E25*A25+IF(Noten!D26,TRUE,FALSE)*Noten!E26*A26+IF(Noten!D27,TRUE,FALSE)*Noten!E27*A27+IF(Noten!D28,TRUE,FALSE)*Noten!E28*A28)</f>
        <v>17</v>
      </c>
      <c r="E23" s="37">
        <f>IFERROR(ROUNDDOWN(C23/D23,1),0)</f>
        <v>2.7</v>
      </c>
    </row>
    <row r="24" spans="1:5" x14ac:dyDescent="0.25">
      <c r="A24" s="32" t="b">
        <v>1</v>
      </c>
    </row>
    <row r="25" spans="1:5" x14ac:dyDescent="0.25">
      <c r="A25" s="32" t="b">
        <v>0</v>
      </c>
    </row>
    <row r="26" spans="1:5" x14ac:dyDescent="0.25">
      <c r="A26" s="32" t="b">
        <v>1</v>
      </c>
    </row>
    <row r="27" spans="1:5" x14ac:dyDescent="0.25">
      <c r="A27" s="32" t="b">
        <v>1</v>
      </c>
    </row>
    <row r="28" spans="1:5" x14ac:dyDescent="0.25">
      <c r="A28" s="32" t="b">
        <v>0</v>
      </c>
    </row>
    <row r="30" spans="1:5" x14ac:dyDescent="0.25">
      <c r="A30" s="32" t="b">
        <v>1</v>
      </c>
    </row>
    <row r="32" spans="1:5" x14ac:dyDescent="0.25">
      <c r="A32" s="32" t="b">
        <v>1</v>
      </c>
    </row>
    <row r="33" spans="1:1" x14ac:dyDescent="0.25">
      <c r="A33" s="32" t="b">
        <v>1</v>
      </c>
    </row>
    <row r="34" spans="1:1" x14ac:dyDescent="0.25">
      <c r="A34" s="32" t="b">
        <v>0</v>
      </c>
    </row>
    <row r="35" spans="1:1" x14ac:dyDescent="0.25">
      <c r="A35" s="32" t="b">
        <v>0</v>
      </c>
    </row>
    <row r="36" spans="1:1" x14ac:dyDescent="0.25">
      <c r="A36" s="32" t="b">
        <v>1</v>
      </c>
    </row>
  </sheetData>
  <sheetProtection password="E201" sheet="1" objects="1" scenarios="1"/>
  <protectedRanges>
    <protectedRange sqref="A32:A36" name="Bereich6"/>
    <protectedRange sqref="A30" name="Bereich5"/>
    <protectedRange sqref="A25:A28" name="Bereich4"/>
    <protectedRange sqref="A18:A21" name="Bereich3"/>
    <protectedRange sqref="A11:A14" name="Bereich2"/>
    <protectedRange sqref="A6:A9" name="Bereich1"/>
  </protectedRange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sheetProtection password="E201" sheet="1" objects="1" scenarios="1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sheetProtection password="E201"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Noten</vt:lpstr>
      <vt:lpstr>Nebenrechnung</vt:lpstr>
      <vt:lpstr>Schema neue Berechnung</vt:lpstr>
      <vt:lpstr>Schema alte Berechnung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Rudolf Ehle</cp:lastModifiedBy>
  <dcterms:created xsi:type="dcterms:W3CDTF">2016-07-06T19:27:33Z</dcterms:created>
  <dcterms:modified xsi:type="dcterms:W3CDTF">2017-08-03T09:44:47Z</dcterms:modified>
</cp:coreProperties>
</file>